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&amp;L" sheetId="1" r:id="rId1"/>
    <sheet name="Assets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<sst xmlns="http://schemas.openxmlformats.org/spreadsheetml/2006/main" count="63" uniqueCount="56">
  <si>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>Dues</t>
  </si>
  <si>
    <t>Contributions</t>
  </si>
  <si>
    <t>GeoCare Royalties</t>
  </si>
  <si>
    <t>5-year avg</t>
  </si>
  <si>
    <t>Book Sales</t>
  </si>
  <si>
    <t>Budget</t>
  </si>
  <si>
    <t>YTD</t>
  </si>
  <si>
    <t>Operating Revenues</t>
  </si>
  <si>
    <t>Meetings</t>
  </si>
  <si>
    <t>Speaker Dinners</t>
  </si>
  <si>
    <t>Regular Revenues</t>
  </si>
  <si>
    <t>Regular Expenses</t>
  </si>
  <si>
    <t>Awards</t>
  </si>
  <si>
    <t>Admin Fees - MSA</t>
  </si>
  <si>
    <t>PayPal Fees</t>
  </si>
  <si>
    <t>DC Registration Fees</t>
  </si>
  <si>
    <t>AGI Fees</t>
  </si>
  <si>
    <t>Bank Fees</t>
  </si>
  <si>
    <t>Liability Insurance</t>
  </si>
  <si>
    <t>Bradley Travel</t>
  </si>
  <si>
    <t>Projected</t>
  </si>
  <si>
    <t>Operating Deficit</t>
  </si>
  <si>
    <t>Plus 125th Anniv.</t>
  </si>
  <si>
    <t>Extra Transfer Needed</t>
  </si>
  <si>
    <t>(avg. 194.21 per full dinner)</t>
  </si>
  <si>
    <t>4% Fund Transfers</t>
  </si>
  <si>
    <t>Memo on expenses</t>
  </si>
  <si>
    <t>Meetings, per meeting</t>
  </si>
  <si>
    <t>Dinners, per meeting</t>
  </si>
  <si>
    <t>FY2019</t>
  </si>
  <si>
    <t>Cash</t>
  </si>
  <si>
    <t>Total</t>
  </si>
  <si>
    <t>General Fund</t>
  </si>
  <si>
    <t>Bradley Fund</t>
  </si>
  <si>
    <t>Endowment Fund</t>
  </si>
  <si>
    <t>Accounts Receivable</t>
  </si>
  <si>
    <t>Accounts Payable</t>
  </si>
  <si>
    <t>Vanguard Wellington</t>
  </si>
  <si>
    <t>Vanguard Balanced</t>
  </si>
  <si>
    <t>Assets and Funds</t>
  </si>
  <si>
    <t>Increase</t>
  </si>
  <si>
    <t>MRB</t>
  </si>
  <si>
    <t>Spendable</t>
  </si>
  <si>
    <t>(% of total)</t>
  </si>
  <si>
    <t>FY 2013</t>
  </si>
  <si>
    <t>FY 2014</t>
  </si>
  <si>
    <t>FY 2015</t>
  </si>
  <si>
    <t>FY 2016</t>
  </si>
  <si>
    <t>FY 2017</t>
  </si>
  <si>
    <t>FY 2018 YTD</t>
  </si>
  <si>
    <t>Contribs</t>
  </si>
  <si>
    <t>Royalties</t>
  </si>
  <si>
    <t>Memo on revenues</t>
  </si>
  <si>
    <t>GSW Assets as of 31 March 2018</t>
  </si>
  <si>
    <t>(avg. 1,082.86 per mtg)</t>
  </si>
  <si>
    <t>GSW Profit &amp; Loss as of 31 March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</si>
</sst>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43" fontId="0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11" xfId="42" applyNumberFormat="1" applyFont="1" applyBorder="1" applyAlignment="1">
      <alignment/>
    </xf>
    <xf numFmtId="43" fontId="0" fillId="0" borderId="0" xfId="0" applyNumberFormat="1" applyAlignment="1">
      <alignment/>
    </xf>
    <xf numFmtId="14" fontId="35" fillId="0" borderId="0" xfId="42" applyNumberFormat="1" applyFont="1" applyAlignment="1">
      <alignment horizontal="center"/>
    </xf>
    <xf numFmtId="0" fontId="35" fillId="0" borderId="0" xfId="0" applyFont="1" applyAlignment="1">
      <alignment horizontal="center"/>
    </xf>
    <xf numFmtId="43" fontId="0" fillId="0" borderId="0" xfId="42" applyFont="1" applyAlignment="1">
      <alignment/>
    </xf>
    <xf numFmtId="166" fontId="0" fillId="0" borderId="0" xfId="57" applyNumberFormat="1" applyFont="1" applyAlignment="1">
      <alignment/>
    </xf>
    <xf numFmtId="0" fontId="35" fillId="0" borderId="0" xfId="0" applyFont="1" applyAlignment="1">
      <alignment horizontal="center" vertical="center"/>
    </xf>
    <xf numFmtId="170" fontId="0" fillId="0" borderId="0" xfId="0" applyNumberFormat="1" applyAlignment="1">
      <alignment/>
    </xf>
    <xf numFmtId="43" fontId="0" fillId="0" borderId="0" xfId="42" applyNumberFormat="1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43" fontId="0" fillId="0" borderId="0" xfId="42" applyNumberFormat="1" applyFont="1" applyAlignment="1">
      <alignment horizontal="center"/>
    </xf>
    <xf numFmtId="43" fontId="0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57421875" style="0" bestFit="1" customWidth="1"/>
    <col min="2" max="3" width="11.57421875" style="3" bestFit="1" customWidth="1"/>
    <col min="4" max="4" width="10.57421875" style="0" bestFit="1" customWidth="1"/>
    <col min="5" max="5" width="10.57421875" style="0" customWidth="1"/>
    <col min="6" max="6" width="14.00390625" style="0" customWidth="1"/>
  </cols>
  <sheetData>
    <row r="1" spans="1:5" ht="15">
      <c r="A1" s="22" t="s">
        <v>55</v>
      </c>
      <c r="B1" s="22"/>
      <c r="C1" s="22"/>
      <c r="D1" s="22"/>
      <c r="E1" s="22"/>
    </row>
    <row r="3" spans="2:5" ht="15">
      <c r="B3" s="7" t="s">
        <v>3</v>
      </c>
      <c r="C3" s="7" t="s">
        <v>5</v>
      </c>
      <c r="D3" s="8" t="s">
        <v>6</v>
      </c>
      <c r="E3" s="8" t="s">
        <v>29</v>
      </c>
    </row>
    <row r="4" ht="15">
      <c r="A4" s="1" t="s">
        <v>10</v>
      </c>
    </row>
    <row r="5" spans="1:5" ht="15">
      <c r="A5" t="s">
        <v>0</v>
      </c>
      <c r="B5" s="3">
        <f>(10635+9995+10113+10055+9190)/5</f>
        <v>9997.6</v>
      </c>
      <c r="C5" s="3">
        <v>9270</v>
      </c>
      <c r="D5" s="2">
        <v>8605</v>
      </c>
      <c r="E5" s="2">
        <v>8400</v>
      </c>
    </row>
    <row r="6" spans="1:5" ht="15">
      <c r="A6" t="s">
        <v>1</v>
      </c>
      <c r="B6" s="3">
        <f>(4945+4820+4047.77+4502.77+3907.77)/5</f>
        <v>4444.662</v>
      </c>
      <c r="C6" s="3">
        <v>3300</v>
      </c>
      <c r="D6" s="2">
        <f>3889.11+25+80</f>
        <v>3994.11</v>
      </c>
      <c r="E6" s="2">
        <v>3800</v>
      </c>
    </row>
    <row r="7" spans="1:5" ht="15">
      <c r="A7" t="s">
        <v>2</v>
      </c>
      <c r="B7" s="3">
        <f>(410+310+253+220+200)/5</f>
        <v>278.6</v>
      </c>
      <c r="C7" s="3">
        <v>160</v>
      </c>
      <c r="D7" s="2">
        <v>160</v>
      </c>
      <c r="E7" s="2">
        <v>100</v>
      </c>
    </row>
    <row r="8" spans="1:5" ht="15">
      <c r="A8" s="4" t="s">
        <v>4</v>
      </c>
      <c r="B8" s="5">
        <v>20</v>
      </c>
      <c r="C8" s="5">
        <v>0</v>
      </c>
      <c r="D8" s="6">
        <v>0</v>
      </c>
      <c r="E8" s="6">
        <v>0</v>
      </c>
    </row>
    <row r="9" spans="1:5" ht="15">
      <c r="A9" t="s">
        <v>7</v>
      </c>
      <c r="B9" s="3">
        <f>SUM(B5:B8)</f>
        <v>14740.862000000001</v>
      </c>
      <c r="C9" s="3">
        <f>SUM(C5:C8)</f>
        <v>12730</v>
      </c>
      <c r="D9" s="2">
        <f>SUM(D5:D8)</f>
        <v>12759.11</v>
      </c>
      <c r="E9" s="2">
        <f>SUM(E5:E8)</f>
        <v>12300</v>
      </c>
    </row>
    <row r="10" spans="4:5" ht="15">
      <c r="D10" s="2"/>
      <c r="E10" s="2"/>
    </row>
    <row r="11" spans="1:5" ht="15">
      <c r="A11" s="1" t="s">
        <v>11</v>
      </c>
      <c r="D11" s="2" t="s">
        <v>20</v>
      </c>
      <c r="E11" s="2"/>
    </row>
    <row r="12" spans="1:6" ht="15">
      <c r="A12" t="s">
        <v>8</v>
      </c>
      <c r="B12" s="3">
        <f>(9779.16+9728.16+10513.52+11033.8+11584.4)/5</f>
        <v>10527.808</v>
      </c>
      <c r="C12" s="3">
        <v>10200</v>
      </c>
      <c r="D12" s="2">
        <v>10828.6</v>
      </c>
      <c r="E12" s="2">
        <f>12*1082.86</f>
        <v>12994.32</v>
      </c>
      <c r="F12" t="s">
        <v>54</v>
      </c>
    </row>
    <row r="13" spans="1:6" ht="15">
      <c r="A13" t="s">
        <v>9</v>
      </c>
      <c r="B13" s="3">
        <f>(1448.7+1968.74+2033.8+1452.85+1988.66)/5</f>
        <v>1778.55</v>
      </c>
      <c r="C13" s="3">
        <v>1728</v>
      </c>
      <c r="D13" s="2">
        <f>8.33/4.33*840.93</f>
        <v>1617.7706466512702</v>
      </c>
      <c r="E13" s="2">
        <f>10.33*194.21</f>
        <v>2006.1893</v>
      </c>
      <c r="F13" t="s">
        <v>24</v>
      </c>
    </row>
    <row r="14" spans="1:5" ht="15">
      <c r="A14" t="s">
        <v>12</v>
      </c>
      <c r="B14" s="3">
        <f>(375+570.28+512.9+417+513.3)/5</f>
        <v>477.6959999999999</v>
      </c>
      <c r="C14" s="3">
        <v>485</v>
      </c>
      <c r="D14" s="2">
        <v>350</v>
      </c>
      <c r="E14" s="2">
        <v>350</v>
      </c>
    </row>
    <row r="15" spans="1:5" ht="15">
      <c r="A15" t="s">
        <v>19</v>
      </c>
      <c r="B15" s="3">
        <v>0</v>
      </c>
      <c r="C15" s="3">
        <v>1000</v>
      </c>
      <c r="D15" s="2">
        <v>956.61</v>
      </c>
      <c r="E15" s="2">
        <v>1000</v>
      </c>
    </row>
    <row r="16" spans="1:5" ht="15">
      <c r="A16" t="s">
        <v>13</v>
      </c>
      <c r="B16" s="3">
        <f>(1884.19+1575.15+1704.59+1635.56+1765.76)/5</f>
        <v>1713.05</v>
      </c>
      <c r="C16" s="3">
        <v>1800</v>
      </c>
      <c r="D16" s="2">
        <v>1550</v>
      </c>
      <c r="E16" s="2">
        <v>1600</v>
      </c>
    </row>
    <row r="17" spans="1:5" ht="15">
      <c r="A17" t="s">
        <v>14</v>
      </c>
      <c r="B17" s="3">
        <f>(196.61+216.57+241.19+255.51+272.02)/5</f>
        <v>236.38000000000002</v>
      </c>
      <c r="C17" s="3">
        <v>280</v>
      </c>
      <c r="D17" s="2">
        <v>230</v>
      </c>
      <c r="E17" s="2">
        <v>230</v>
      </c>
    </row>
    <row r="18" spans="1:5" ht="15">
      <c r="A18" t="s">
        <v>15</v>
      </c>
      <c r="B18" s="3">
        <v>80</v>
      </c>
      <c r="C18" s="3">
        <v>80</v>
      </c>
      <c r="D18" s="2">
        <v>80</v>
      </c>
      <c r="E18" s="2">
        <v>0</v>
      </c>
    </row>
    <row r="19" spans="1:5" ht="15">
      <c r="A19" t="s">
        <v>16</v>
      </c>
      <c r="B19" s="3">
        <v>100</v>
      </c>
      <c r="C19" s="3">
        <v>100</v>
      </c>
      <c r="D19" s="2">
        <v>100</v>
      </c>
      <c r="E19" s="2">
        <v>100</v>
      </c>
    </row>
    <row r="20" spans="1:5" ht="15">
      <c r="A20" t="s">
        <v>17</v>
      </c>
      <c r="B20" s="3">
        <f>(50.94+24+54.91+20+22)/5</f>
        <v>34.37</v>
      </c>
      <c r="C20" s="3">
        <v>24</v>
      </c>
      <c r="D20" s="2">
        <v>24</v>
      </c>
      <c r="E20" s="2">
        <v>24</v>
      </c>
    </row>
    <row r="21" spans="1:5" ht="15">
      <c r="A21" s="4" t="s">
        <v>18</v>
      </c>
      <c r="B21" s="5">
        <v>0</v>
      </c>
      <c r="C21" s="5">
        <v>764</v>
      </c>
      <c r="D21" s="6">
        <v>663</v>
      </c>
      <c r="E21" s="6">
        <v>764</v>
      </c>
    </row>
    <row r="22" spans="1:5" ht="15">
      <c r="A22" t="s">
        <v>11</v>
      </c>
      <c r="B22" s="3">
        <f>SUM(B12:B21)</f>
        <v>14947.854</v>
      </c>
      <c r="C22" s="3">
        <f>SUM(C12:C21)</f>
        <v>16461</v>
      </c>
      <c r="D22" s="2">
        <f>SUM(D12:D21)</f>
        <v>16399.98064665127</v>
      </c>
      <c r="E22" s="2">
        <f>SUM(E12:E21)</f>
        <v>19068.509299999998</v>
      </c>
    </row>
    <row r="24" spans="1:5" ht="15">
      <c r="A24" t="s">
        <v>21</v>
      </c>
      <c r="B24" s="3">
        <f>B22-B9</f>
        <v>206.99199999999837</v>
      </c>
      <c r="C24" s="3">
        <f>C22-C9</f>
        <v>3731</v>
      </c>
      <c r="D24" s="3">
        <f>D22-D9</f>
        <v>3640.8706466512704</v>
      </c>
      <c r="E24" s="3">
        <f>E22-E9</f>
        <v>6768.509299999998</v>
      </c>
    </row>
    <row r="25" spans="1:5" ht="15">
      <c r="A25" t="s">
        <v>25</v>
      </c>
      <c r="D25" s="3">
        <f>-(Assets!C12+Assets!C13)*0.04</f>
        <v>-6781.246</v>
      </c>
      <c r="E25" s="3">
        <f>D25</f>
        <v>-6781.246</v>
      </c>
    </row>
    <row r="26" spans="1:5" ht="15">
      <c r="A26" t="s">
        <v>22</v>
      </c>
      <c r="D26" s="3">
        <v>6824.93</v>
      </c>
      <c r="E26" s="3"/>
    </row>
    <row r="27" spans="1:5" ht="15.75" thickBot="1">
      <c r="A27" t="s">
        <v>23</v>
      </c>
      <c r="D27" s="9">
        <f>SUM(D24:D26)</f>
        <v>3684.5546466512706</v>
      </c>
      <c r="E27" s="3"/>
    </row>
    <row r="28" spans="4:5" ht="15.75" thickTop="1">
      <c r="D28" s="3"/>
      <c r="E28" s="3"/>
    </row>
    <row r="29" spans="4:5" ht="15">
      <c r="D29" s="3"/>
      <c r="E29" s="3"/>
    </row>
    <row r="30" spans="1:5" ht="15">
      <c r="A30" s="1" t="s">
        <v>26</v>
      </c>
      <c r="B30" s="20" t="s">
        <v>3</v>
      </c>
      <c r="C30" s="20" t="s">
        <v>5</v>
      </c>
      <c r="D30" s="20" t="s">
        <v>6</v>
      </c>
      <c r="E30" s="3"/>
    </row>
    <row r="31" spans="1:4" ht="15">
      <c r="A31" t="s">
        <v>27</v>
      </c>
      <c r="B31" s="3">
        <f>B12*5/58</f>
        <v>907.569655172414</v>
      </c>
      <c r="C31" s="3">
        <f>C12/10</f>
        <v>1020</v>
      </c>
      <c r="D31" s="10">
        <f>D12/10</f>
        <v>1082.8600000000001</v>
      </c>
    </row>
    <row r="32" spans="1:4" ht="15">
      <c r="A32" t="s">
        <v>28</v>
      </c>
      <c r="B32" s="3">
        <f>B13*5/49.33</f>
        <v>180.27062639367526</v>
      </c>
      <c r="C32" s="3">
        <f>C13/8.33</f>
        <v>207.44297719087635</v>
      </c>
      <c r="D32" s="10">
        <f>D13/8.33</f>
        <v>194.21016166281754</v>
      </c>
    </row>
    <row r="33" ht="15">
      <c r="D33" s="10"/>
    </row>
    <row r="35" spans="1:5" ht="15">
      <c r="A35" s="1" t="s">
        <v>52</v>
      </c>
      <c r="B35" s="17" t="s">
        <v>0</v>
      </c>
      <c r="C35" s="17" t="s">
        <v>50</v>
      </c>
      <c r="D35" s="8" t="s">
        <v>51</v>
      </c>
      <c r="E35" s="8" t="s">
        <v>31</v>
      </c>
    </row>
    <row r="36" spans="1:5" ht="15">
      <c r="A36" t="s">
        <v>44</v>
      </c>
      <c r="B36" s="18">
        <v>10635</v>
      </c>
      <c r="C36" s="18">
        <v>4945</v>
      </c>
      <c r="D36" s="18">
        <v>410</v>
      </c>
      <c r="E36" s="19">
        <f aca="true" t="shared" si="0" ref="E36:E41">SUM(B36:D36)</f>
        <v>15990</v>
      </c>
    </row>
    <row r="37" spans="1:5" ht="15">
      <c r="A37" t="s">
        <v>45</v>
      </c>
      <c r="B37" s="18">
        <v>9995</v>
      </c>
      <c r="C37" s="18">
        <v>4820</v>
      </c>
      <c r="D37" s="18">
        <v>310</v>
      </c>
      <c r="E37" s="19">
        <f t="shared" si="0"/>
        <v>15125</v>
      </c>
    </row>
    <row r="38" spans="1:5" ht="15">
      <c r="A38" t="s">
        <v>46</v>
      </c>
      <c r="B38" s="18">
        <v>10113</v>
      </c>
      <c r="C38" s="18">
        <v>4048</v>
      </c>
      <c r="D38" s="18">
        <v>253</v>
      </c>
      <c r="E38" s="19">
        <f t="shared" si="0"/>
        <v>14414</v>
      </c>
    </row>
    <row r="39" spans="1:5" ht="15">
      <c r="A39" t="s">
        <v>47</v>
      </c>
      <c r="B39" s="18">
        <v>10055</v>
      </c>
      <c r="C39" s="18">
        <v>4503</v>
      </c>
      <c r="D39" s="18">
        <v>220</v>
      </c>
      <c r="E39" s="19">
        <f t="shared" si="0"/>
        <v>14778</v>
      </c>
    </row>
    <row r="40" spans="1:5" ht="15">
      <c r="A40" t="s">
        <v>48</v>
      </c>
      <c r="B40" s="18">
        <v>9190</v>
      </c>
      <c r="C40" s="18">
        <v>3908</v>
      </c>
      <c r="D40" s="18">
        <v>200</v>
      </c>
      <c r="E40" s="19">
        <f t="shared" si="0"/>
        <v>13298</v>
      </c>
    </row>
    <row r="41" spans="1:5" ht="15">
      <c r="A41" t="s">
        <v>49</v>
      </c>
      <c r="B41" s="18">
        <v>8605</v>
      </c>
      <c r="C41" s="18">
        <v>3994</v>
      </c>
      <c r="D41" s="18">
        <v>160</v>
      </c>
      <c r="E41" s="19">
        <f t="shared" si="0"/>
        <v>12759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0.00390625" style="0" bestFit="1" customWidth="1"/>
    <col min="2" max="3" width="11.57421875" style="0" bestFit="1" customWidth="1"/>
    <col min="4" max="4" width="3.140625" style="0" customWidth="1"/>
    <col min="5" max="6" width="10.57421875" style="0" bestFit="1" customWidth="1"/>
    <col min="7" max="7" width="10.8515625" style="0" bestFit="1" customWidth="1"/>
    <col min="8" max="8" width="10.00390625" style="0" bestFit="1" customWidth="1"/>
  </cols>
  <sheetData>
    <row r="1" spans="1:5" ht="15">
      <c r="A1" s="22" t="s">
        <v>53</v>
      </c>
      <c r="B1" s="22"/>
      <c r="C1" s="22"/>
      <c r="D1" s="22"/>
      <c r="E1" s="22"/>
    </row>
    <row r="3" spans="1:3" ht="15">
      <c r="A3" s="1" t="s">
        <v>39</v>
      </c>
      <c r="B3" s="11">
        <v>42916</v>
      </c>
      <c r="C3" s="11">
        <v>43190</v>
      </c>
    </row>
    <row r="4" spans="1:3" ht="15">
      <c r="A4" t="s">
        <v>30</v>
      </c>
      <c r="B4" s="3">
        <v>16499.97</v>
      </c>
      <c r="C4" s="3">
        <f>12996.8-1201</f>
        <v>11795.8</v>
      </c>
    </row>
    <row r="5" spans="1:3" ht="15">
      <c r="A5" t="s">
        <v>35</v>
      </c>
      <c r="B5" s="3">
        <v>10</v>
      </c>
      <c r="C5" s="3">
        <v>0</v>
      </c>
    </row>
    <row r="6" spans="1:5" ht="15">
      <c r="A6" t="s">
        <v>36</v>
      </c>
      <c r="B6" s="3">
        <v>-724.18</v>
      </c>
      <c r="C6" s="3">
        <v>0</v>
      </c>
      <c r="E6" s="12" t="s">
        <v>40</v>
      </c>
    </row>
    <row r="7" spans="1:5" ht="15">
      <c r="A7" t="s">
        <v>37</v>
      </c>
      <c r="B7" s="3">
        <v>53160.51</v>
      </c>
      <c r="C7" s="3">
        <v>56384.13</v>
      </c>
      <c r="E7" s="13">
        <f>C7-B7</f>
        <v>3223.6199999999953</v>
      </c>
    </row>
    <row r="8" spans="1:5" ht="15">
      <c r="A8" t="s">
        <v>38</v>
      </c>
      <c r="B8" s="5">
        <v>99784.78</v>
      </c>
      <c r="C8" s="5">
        <v>105903.96</v>
      </c>
      <c r="E8" s="13">
        <f>C8-B8</f>
        <v>6119.180000000008</v>
      </c>
    </row>
    <row r="9" spans="1:8" ht="15">
      <c r="A9" t="s">
        <v>31</v>
      </c>
      <c r="B9" s="3">
        <f>SUM(B4:B8)</f>
        <v>168731.08000000002</v>
      </c>
      <c r="C9" s="3">
        <f>SUM(C4:C8)</f>
        <v>174083.89</v>
      </c>
      <c r="H9" s="16"/>
    </row>
    <row r="10" spans="2:3" ht="15">
      <c r="B10" s="3"/>
      <c r="C10" s="3"/>
    </row>
    <row r="11" spans="1:7" ht="15">
      <c r="A11" t="s">
        <v>32</v>
      </c>
      <c r="B11" s="3">
        <v>10142.73</v>
      </c>
      <c r="C11" s="21">
        <f>4410.92+11795.8-11653.98</f>
        <v>4552.74</v>
      </c>
      <c r="E11" s="12" t="s">
        <v>41</v>
      </c>
      <c r="F11" s="12" t="s">
        <v>42</v>
      </c>
      <c r="G11" s="15" t="s">
        <v>43</v>
      </c>
    </row>
    <row r="12" spans="1:7" ht="15">
      <c r="A12" t="s">
        <v>33</v>
      </c>
      <c r="B12" s="3">
        <v>54647.53</v>
      </c>
      <c r="C12" s="3">
        <f>C7+1882.02</f>
        <v>58266.149999999994</v>
      </c>
      <c r="E12" s="13">
        <f>247.867/178*22002</f>
        <v>30638.032213483148</v>
      </c>
      <c r="F12" s="13">
        <f>C12-E12</f>
        <v>27628.117786516847</v>
      </c>
      <c r="G12" s="14">
        <f>F12/C12</f>
        <v>0.47417098583855033</v>
      </c>
    </row>
    <row r="13" spans="1:7" ht="15">
      <c r="A13" t="s">
        <v>34</v>
      </c>
      <c r="B13" s="5">
        <v>103940.82</v>
      </c>
      <c r="C13" s="5">
        <f>C8+5361.04</f>
        <v>111265</v>
      </c>
      <c r="E13" s="13">
        <f>61270.77+1205</f>
        <v>62475.77</v>
      </c>
      <c r="F13" s="13">
        <f>C13-E13</f>
        <v>48789.23</v>
      </c>
      <c r="G13" s="14">
        <f>F13/C13</f>
        <v>0.43849575338156654</v>
      </c>
    </row>
    <row r="14" spans="1:3" ht="15">
      <c r="A14" t="s">
        <v>31</v>
      </c>
      <c r="B14" s="3">
        <f>SUM(B11:B13)</f>
        <v>168731.08000000002</v>
      </c>
      <c r="C14" s="3">
        <f>SUM(C11:C13)</f>
        <v>174083.88999999998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2018-03-14T17:36:33Z</cp:lastPrinted>
  <dcterms:created xsi:type="dcterms:W3CDTF">2018-03-06T16:01:07Z</dcterms:created>
  <dcterms:modified xsi:type="dcterms:W3CDTF">2018-04-02T18:51:28Z</dcterms:modified>
  <cp:category/>
  <cp:version/>
  <cp:contentType/>
  <cp:contentStatus/>
</cp:coreProperties>
</file>